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\Desktop\PAS\"/>
    </mc:Choice>
  </mc:AlternateContent>
  <bookViews>
    <workbookView xWindow="0" yWindow="120" windowWidth="17520" windowHeight="8472"/>
  </bookViews>
  <sheets>
    <sheet name="cailbrazione caduta g" sheetId="1" r:id="rId1"/>
    <sheet name="Foglio2" sheetId="2" r:id="rId2"/>
    <sheet name="Foglio3" sheetId="3" r:id="rId3"/>
  </sheets>
  <definedNames>
    <definedName name="A">'cailbrazione caduta g'!$G$21</definedName>
    <definedName name="B">'cailbrazione caduta g'!$G$22</definedName>
    <definedName name="dbilia">'cailbrazione caduta g'!$B$3</definedName>
    <definedName name="s">'cailbrazione caduta g'!$B$2</definedName>
  </definedNames>
  <calcPr calcId="152511"/>
</workbook>
</file>

<file path=xl/calcChain.xml><?xml version="1.0" encoding="utf-8"?>
<calcChain xmlns="http://schemas.openxmlformats.org/spreadsheetml/2006/main">
  <c r="I26" i="1" l="1"/>
  <c r="G30" i="1"/>
  <c r="L2" i="1" l="1"/>
  <c r="L1" i="1"/>
  <c r="G27" i="1"/>
  <c r="O6" i="1"/>
  <c r="O4" i="1"/>
  <c r="S4" i="1" s="1"/>
  <c r="G22" i="1"/>
  <c r="V4" i="1" l="1"/>
  <c r="C12" i="1" l="1"/>
  <c r="C13" i="1" s="1"/>
  <c r="C14" i="1" s="1"/>
  <c r="C15" i="1" s="1"/>
  <c r="C16" i="1" s="1"/>
  <c r="C17" i="1" s="1"/>
  <c r="C18" i="1" s="1"/>
  <c r="C8" i="1"/>
  <c r="D8" i="1" s="1"/>
  <c r="D17" i="1" s="1"/>
  <c r="B9" i="1"/>
  <c r="C9" i="1" s="1"/>
  <c r="D9" i="1" s="1"/>
  <c r="D18" i="1" s="1"/>
  <c r="B7" i="1"/>
  <c r="C7" i="1" s="1"/>
  <c r="D7" i="1" s="1"/>
  <c r="D16" i="1" s="1"/>
  <c r="B6" i="1"/>
  <c r="C6" i="1" s="1"/>
  <c r="D6" i="1" s="1"/>
  <c r="D15" i="1" s="1"/>
  <c r="B5" i="1"/>
  <c r="C5" i="1" s="1"/>
  <c r="D5" i="1" s="1"/>
  <c r="D14" i="1" s="1"/>
  <c r="B4" i="1"/>
  <c r="C4" i="1" s="1"/>
  <c r="D4" i="1" s="1"/>
  <c r="D13" i="1" s="1"/>
  <c r="H13" i="1" s="1"/>
  <c r="P9" i="1"/>
  <c r="O9" i="1"/>
  <c r="O8" i="1"/>
  <c r="P8" i="1"/>
  <c r="P7" i="1"/>
  <c r="O7" i="1"/>
  <c r="P5" i="1"/>
  <c r="P6" i="1"/>
  <c r="T6" i="1" s="1"/>
  <c r="P4" i="1"/>
  <c r="T4" i="1" s="1"/>
  <c r="O5" i="1"/>
  <c r="S6" i="1"/>
  <c r="E13" i="1"/>
  <c r="K13" i="1" s="1"/>
  <c r="T8" i="1" l="1"/>
  <c r="U8" i="1" s="1"/>
  <c r="E15" i="1"/>
  <c r="V6" i="1"/>
  <c r="S5" i="1"/>
  <c r="E14" i="1" s="1"/>
  <c r="V5" i="1"/>
  <c r="S7" i="1"/>
  <c r="E16" i="1" s="1"/>
  <c r="V7" i="1"/>
  <c r="S9" i="1"/>
  <c r="E18" i="1" s="1"/>
  <c r="V9" i="1"/>
  <c r="T7" i="1"/>
  <c r="S8" i="1"/>
  <c r="E17" i="1" s="1"/>
  <c r="V8" i="1"/>
  <c r="V10" i="1" s="1"/>
  <c r="F13" i="1"/>
  <c r="Q4" i="1"/>
  <c r="Q6" i="1"/>
  <c r="U6" i="1"/>
  <c r="J13" i="1"/>
  <c r="J17" i="1"/>
  <c r="H17" i="1"/>
  <c r="K17" i="1" s="1"/>
  <c r="Q7" i="1"/>
  <c r="H15" i="1"/>
  <c r="K15" i="1" s="1"/>
  <c r="J15" i="1"/>
  <c r="J14" i="1"/>
  <c r="H14" i="1"/>
  <c r="Q9" i="1"/>
  <c r="J16" i="1"/>
  <c r="H16" i="1"/>
  <c r="K16" i="1" s="1"/>
  <c r="D19" i="1"/>
  <c r="J18" i="1"/>
  <c r="H18" i="1"/>
  <c r="K18" i="1" s="1"/>
  <c r="F15" i="1"/>
  <c r="Q5" i="1"/>
  <c r="Q8" i="1"/>
  <c r="E19" i="1"/>
  <c r="T9" i="1" l="1"/>
  <c r="F17" i="1"/>
  <c r="L17" i="1" s="1"/>
  <c r="K14" i="1"/>
  <c r="L13" i="1"/>
  <c r="T5" i="1"/>
  <c r="U4" i="1"/>
  <c r="L15" i="1"/>
  <c r="U7" i="1"/>
  <c r="F16" i="1"/>
  <c r="L16" i="1" s="1"/>
  <c r="K19" i="1"/>
  <c r="G24" i="1" s="1"/>
  <c r="J19" i="1"/>
  <c r="G23" i="1" s="1"/>
  <c r="I21" i="1" l="1"/>
  <c r="J21" i="1" s="1"/>
  <c r="U5" i="1"/>
  <c r="F14" i="1"/>
  <c r="F18" i="1"/>
  <c r="L18" i="1" s="1"/>
  <c r="U9" i="1"/>
  <c r="G29" i="1"/>
  <c r="I29" i="1" s="1"/>
  <c r="I30" i="1" s="1"/>
  <c r="I22" i="1"/>
  <c r="J22" i="1" s="1"/>
  <c r="I27" i="1" l="1"/>
  <c r="F20" i="1"/>
  <c r="L14" i="1"/>
  <c r="L19" i="1" s="1"/>
</calcChain>
</file>

<file path=xl/sharedStrings.xml><?xml version="1.0" encoding="utf-8"?>
<sst xmlns="http://schemas.openxmlformats.org/spreadsheetml/2006/main" count="40" uniqueCount="36">
  <si>
    <t>s</t>
  </si>
  <si>
    <t>t</t>
  </si>
  <si>
    <t>h</t>
  </si>
  <si>
    <t>mm</t>
  </si>
  <si>
    <t>dbilia</t>
  </si>
  <si>
    <t>t=</t>
  </si>
  <si>
    <t>radq(h')</t>
  </si>
  <si>
    <t>A=</t>
  </si>
  <si>
    <t>B=</t>
  </si>
  <si>
    <t>Yi</t>
  </si>
  <si>
    <t>somme</t>
  </si>
  <si>
    <t>sA=</t>
  </si>
  <si>
    <t>sB=</t>
  </si>
  <si>
    <t>ms</t>
  </si>
  <si>
    <t>x</t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</si>
  <si>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t</t>
    </r>
  </si>
  <si>
    <r>
      <t>x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</si>
  <si>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r>
      <rPr>
        <i/>
        <sz val="11"/>
        <color theme="1"/>
        <rFont val="Symbol"/>
        <family val="1"/>
        <charset val="2"/>
      </rPr>
      <t>(D</t>
    </r>
    <r>
      <rPr>
        <i/>
        <sz val="11"/>
        <color theme="1"/>
        <rFont val="Calibri"/>
        <family val="2"/>
        <scheme val="minor"/>
      </rPr>
      <t>y)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</si>
  <si>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media</t>
  </si>
  <si>
    <r>
      <rPr>
        <i/>
        <sz val="11"/>
        <color theme="1"/>
        <rFont val="Symbol"/>
        <family val="1"/>
        <charset val="2"/>
      </rPr>
      <t>(D</t>
    </r>
    <r>
      <rPr>
        <i/>
        <sz val="11"/>
        <color theme="1"/>
        <rFont val="Calibri"/>
        <family val="2"/>
        <scheme val="minor"/>
      </rPr>
      <t>y)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vertAlign val="subscript"/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dy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</si>
  <si>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&lt; N</t>
  </si>
  <si>
    <r>
      <t>t</t>
    </r>
    <r>
      <rPr>
        <i/>
        <vertAlign val="subscript"/>
        <sz val="11"/>
        <color theme="1"/>
        <rFont val="Calibri"/>
        <family val="2"/>
        <scheme val="minor"/>
      </rPr>
      <t>0</t>
    </r>
    <r>
      <rPr>
        <i/>
        <sz val="11"/>
        <color theme="1"/>
        <rFont val="Calibri"/>
        <family val="2"/>
        <scheme val="minor"/>
      </rPr>
      <t>=</t>
    </r>
  </si>
  <si>
    <r>
      <t xml:space="preserve">Dati rilevati al variare di </t>
    </r>
    <r>
      <rPr>
        <b/>
        <i/>
        <sz val="12"/>
        <color theme="1"/>
        <rFont val="Calibri"/>
        <family val="2"/>
        <scheme val="minor"/>
      </rPr>
      <t>h</t>
    </r>
    <r>
      <rPr>
        <b/>
        <sz val="12"/>
        <color theme="1"/>
        <rFont val="Calibri"/>
        <family val="2"/>
        <scheme val="minor"/>
      </rPr>
      <t xml:space="preserve"> e misurando il tempo di caduta</t>
    </r>
    <r>
      <rPr>
        <b/>
        <i/>
        <sz val="12"/>
        <color theme="1"/>
        <rFont val="Calibri"/>
        <family val="2"/>
        <scheme val="minor"/>
      </rPr>
      <t xml:space="preserve"> t</t>
    </r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</si>
  <si>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n</t>
    </r>
    <r>
      <rPr>
        <i/>
        <vertAlign val="subscript"/>
        <sz val="11"/>
        <color theme="1"/>
        <rFont val="Calibri"/>
        <family val="2"/>
        <scheme val="minor"/>
      </rPr>
      <t>un</t>
    </r>
    <r>
      <rPr>
        <i/>
        <sz val="11"/>
        <color theme="1"/>
        <rFont val="Calibri"/>
        <family val="2"/>
        <scheme val="minor"/>
      </rPr>
      <t>/n</t>
    </r>
    <r>
      <rPr>
        <i/>
        <vertAlign val="subscript"/>
        <sz val="11"/>
        <color theme="1"/>
        <rFont val="Calibri"/>
        <family val="2"/>
        <scheme val="minor"/>
      </rPr>
      <t>un</t>
    </r>
  </si>
  <si>
    <r>
      <rPr>
        <i/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n</t>
    </r>
  </si>
  <si>
    <r>
      <t>n</t>
    </r>
    <r>
      <rPr>
        <i/>
        <vertAlign val="subscript"/>
        <sz val="11"/>
        <color theme="1"/>
        <rFont val="Times New Roman"/>
        <family val="1"/>
      </rPr>
      <t>media</t>
    </r>
  </si>
  <si>
    <t>nun</t>
  </si>
  <si>
    <r>
      <t>s</t>
    </r>
    <r>
      <rPr>
        <vertAlign val="superscript"/>
        <sz val="11"/>
        <color theme="1"/>
        <rFont val="Calibri"/>
        <family val="2"/>
        <scheme val="minor"/>
      </rPr>
      <t>-1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</si>
  <si>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t=</t>
    </r>
  </si>
  <si>
    <r>
      <rPr>
        <i/>
        <sz val="11"/>
        <color theme="1"/>
        <rFont val="Symbol"/>
        <family val="1"/>
        <charset val="2"/>
      </rPr>
      <t>s</t>
    </r>
    <r>
      <rPr>
        <i/>
        <vertAlign val="subscript"/>
        <sz val="11"/>
        <color theme="1"/>
        <rFont val="Calibri"/>
        <family val="2"/>
        <scheme val="minor"/>
      </rPr>
      <t>Y</t>
    </r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</si>
  <si>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Y=</t>
    </r>
  </si>
  <si>
    <r>
      <rPr>
        <sz val="11"/>
        <color theme="1"/>
        <rFont val="Symbol"/>
        <family val="1"/>
        <charset val="2"/>
      </rPr>
      <t>e</t>
    </r>
    <r>
      <rPr>
        <sz val="11"/>
        <color theme="1"/>
        <rFont val="Calibri"/>
        <family val="2"/>
        <scheme val="minor"/>
      </rPr>
      <t>t=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</si>
  <si>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A=</t>
    </r>
  </si>
  <si>
    <t>Solo incertezze statistiche</t>
  </si>
  <si>
    <t>Considerazioni statistiche incertezze statistiche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</si>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</sst>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Symbol"/>
      <family val="1"/>
      <charset val="2"/>
    </font>
    <font>
      <i/>
      <vertAlign val="super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 applyAlignment="1">
      <alignment horizontal="center"/>
    </xf>
    <xf numFmtId="2" fontId="0" fillId="0" borderId="0" xfId="0" applyNumberFormat="1"/>
    <xf numFmtId="0" fontId="1" fillId="0" borderId="0" xfId="1" applyAlignment="1">
      <alignment horizontal="center"/>
    </xf>
    <xf numFmtId="0" fontId="2" fillId="0" borderId="0" xfId="0" applyFont="1"/>
    <xf numFmtId="164" fontId="0" fillId="0" borderId="0" xfId="0" applyNumberFormat="1"/>
    <xf numFmtId="11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4" fillId="0" borderId="0" xfId="0" applyFont="1"/>
    <xf numFmtId="11" fontId="5" fillId="0" borderId="0" xfId="0" applyNumberFormat="1" applyFont="1" applyAlignment="1">
      <alignment horizontal="center" vertical="center" readingOrder="1"/>
    </xf>
    <xf numFmtId="0" fontId="3" fillId="0" borderId="0" xfId="0" applyFont="1" applyAlignment="1">
      <alignment horizontal="center"/>
    </xf>
    <xf numFmtId="0" fontId="9" fillId="0" borderId="0" xfId="0" applyFont="1"/>
    <xf numFmtId="0" fontId="13" fillId="0" borderId="0" xfId="0" applyFont="1" applyAlignment="1">
      <alignment horizontal="center"/>
    </xf>
    <xf numFmtId="0" fontId="3" fillId="0" borderId="1" xfId="0" applyFont="1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16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165" fontId="0" fillId="0" borderId="11" xfId="0" applyNumberFormat="1" applyBorder="1"/>
    <xf numFmtId="0" fontId="16" fillId="0" borderId="11" xfId="0" applyFont="1" applyBorder="1"/>
    <xf numFmtId="0" fontId="0" fillId="0" borderId="12" xfId="0" applyBorder="1"/>
    <xf numFmtId="0" fontId="6" fillId="0" borderId="0" xfId="0" applyFont="1"/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881917889830259"/>
          <c:y val="0.13505873349565772"/>
          <c:w val="0.83380828005364416"/>
          <c:h val="0.78453154988796181"/>
        </c:manualLayout>
      </c:layout>
      <c:scatterChart>
        <c:scatterStyle val="lineMarker"/>
        <c:varyColors val="0"/>
        <c:ser>
          <c:idx val="0"/>
          <c:order val="0"/>
          <c:tx>
            <c:v>rad(h) vs t</c:v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6355468066491688"/>
                  <c:y val="-0.15446246510022901"/>
                </c:manualLayout>
              </c:layout>
              <c:numFmt formatCode="0.00E+00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'cailbrazione caduta g'!$F$13:$F$18</c:f>
                <c:numCache>
                  <c:formatCode>General</c:formatCode>
                  <c:ptCount val="6"/>
                  <c:pt idx="0">
                    <c:v>1.8E-3</c:v>
                  </c:pt>
                  <c:pt idx="1">
                    <c:v>1.6999999999999999E-3</c:v>
                  </c:pt>
                  <c:pt idx="2">
                    <c:v>4.4999999999999997E-3</c:v>
                  </c:pt>
                  <c:pt idx="3">
                    <c:v>1.6999999999999999E-3</c:v>
                  </c:pt>
                  <c:pt idx="4">
                    <c:v>1.5E-3</c:v>
                  </c:pt>
                  <c:pt idx="5">
                    <c:v>1.6000000000000001E-3</c:v>
                  </c:pt>
                </c:numCache>
              </c:numRef>
            </c:plus>
            <c:minus>
              <c:numRef>
                <c:f>'cailbrazione caduta g'!$F$13:$F$18</c:f>
                <c:numCache>
                  <c:formatCode>General</c:formatCode>
                  <c:ptCount val="6"/>
                  <c:pt idx="0">
                    <c:v>1.8E-3</c:v>
                  </c:pt>
                  <c:pt idx="1">
                    <c:v>1.6999999999999999E-3</c:v>
                  </c:pt>
                  <c:pt idx="2">
                    <c:v>4.4999999999999997E-3</c:v>
                  </c:pt>
                  <c:pt idx="3">
                    <c:v>1.6999999999999999E-3</c:v>
                  </c:pt>
                  <c:pt idx="4">
                    <c:v>1.5E-3</c:v>
                  </c:pt>
                  <c:pt idx="5">
                    <c:v>1.6000000000000001E-3</c:v>
                  </c:pt>
                </c:numCache>
              </c:numRef>
            </c:minus>
          </c:errBars>
          <c:xVal>
            <c:numRef>
              <c:f>'cailbrazione caduta g'!$D$13:$D$18</c:f>
              <c:numCache>
                <c:formatCode>General</c:formatCode>
                <c:ptCount val="6"/>
                <c:pt idx="0">
                  <c:v>1.1987000000000001</c:v>
                </c:pt>
                <c:pt idx="1">
                  <c:v>1.1756</c:v>
                </c:pt>
                <c:pt idx="2">
                  <c:v>1.1515</c:v>
                </c:pt>
                <c:pt idx="3">
                  <c:v>1.0991</c:v>
                </c:pt>
                <c:pt idx="4">
                  <c:v>1.0663</c:v>
                </c:pt>
                <c:pt idx="5">
                  <c:v>1.0266</c:v>
                </c:pt>
              </c:numCache>
            </c:numRef>
          </c:xVal>
          <c:yVal>
            <c:numRef>
              <c:f>'cailbrazione caduta g'!$E$13:$E$18</c:f>
              <c:numCache>
                <c:formatCode>General</c:formatCode>
                <c:ptCount val="6"/>
                <c:pt idx="0">
                  <c:v>0.55200000000000005</c:v>
                </c:pt>
                <c:pt idx="1">
                  <c:v>0.54105999999999999</c:v>
                </c:pt>
                <c:pt idx="2">
                  <c:v>0.52871999999999997</c:v>
                </c:pt>
                <c:pt idx="3">
                  <c:v>0.50573999999999997</c:v>
                </c:pt>
                <c:pt idx="4">
                  <c:v>0.49202000000000001</c:v>
                </c:pt>
                <c:pt idx="5">
                  <c:v>0.47386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408080"/>
        <c:axId val="268572304"/>
      </c:scatterChart>
      <c:valAx>
        <c:axId val="26840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8572304"/>
        <c:crosses val="autoZero"/>
        <c:crossBetween val="midCat"/>
      </c:valAx>
      <c:valAx>
        <c:axId val="26857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408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358139</xdr:colOff>
      <xdr:row>10</xdr:row>
      <xdr:rowOff>158114</xdr:rowOff>
    </xdr:from>
    <xdr:to>
      <xdr:col>22</xdr:col>
      <xdr:colOff>1904</xdr:colOff>
      <xdr:row>31</xdr:row>
      <xdr:rowOff>60960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topLeftCell="O13" workbookViewId="0">
      <selection activeCell="B30" sqref="B30"/>
    </sheetView>
  </sheetViews>
  <sheetFormatPr defaultRowHeight="14.4" x14ac:dyDescent="0.3"/>
  <cols>
    <col min="5" max="5" width="12.6640625" bestFit="1" customWidth="1"/>
    <col min="7" max="7" width="12.6640625" bestFit="1" customWidth="1"/>
    <col min="11" max="12" width="12" bestFit="1" customWidth="1"/>
  </cols>
  <sheetData>
    <row r="1" spans="1:23" ht="16.2" x14ac:dyDescent="0.35">
      <c r="B1" s="15" t="s">
        <v>22</v>
      </c>
      <c r="K1" s="7" t="s">
        <v>23</v>
      </c>
      <c r="L1">
        <f>0.002</f>
        <v>2E-3</v>
      </c>
    </row>
    <row r="2" spans="1:23" ht="16.2" x14ac:dyDescent="0.3">
      <c r="A2" t="s">
        <v>0</v>
      </c>
      <c r="B2">
        <v>1.7</v>
      </c>
      <c r="C2" t="s">
        <v>3</v>
      </c>
      <c r="K2" t="s">
        <v>26</v>
      </c>
      <c r="L2">
        <f>100000</f>
        <v>100000</v>
      </c>
      <c r="M2" t="s">
        <v>27</v>
      </c>
    </row>
    <row r="3" spans="1:23" ht="16.2" x14ac:dyDescent="0.35">
      <c r="A3" t="s">
        <v>4</v>
      </c>
      <c r="B3">
        <v>12.7</v>
      </c>
      <c r="C3" t="s">
        <v>3</v>
      </c>
      <c r="O3" s="16" t="s">
        <v>25</v>
      </c>
      <c r="P3" s="8" t="s">
        <v>24</v>
      </c>
      <c r="R3" s="7"/>
      <c r="S3" s="8" t="s">
        <v>5</v>
      </c>
      <c r="T3" s="8" t="s">
        <v>28</v>
      </c>
      <c r="V3" s="8" t="s">
        <v>31</v>
      </c>
    </row>
    <row r="4" spans="1:23" x14ac:dyDescent="0.3">
      <c r="A4" s="7" t="s">
        <v>2</v>
      </c>
      <c r="B4">
        <f>1445</f>
        <v>1445</v>
      </c>
      <c r="C4">
        <f>B4-s-dbilia/2</f>
        <v>1436.95</v>
      </c>
      <c r="D4">
        <f>C4/1000</f>
        <v>1.4369499999999999</v>
      </c>
      <c r="E4">
        <v>55035</v>
      </c>
      <c r="F4">
        <v>55142</v>
      </c>
      <c r="G4">
        <v>55259</v>
      </c>
      <c r="H4">
        <v>55264</v>
      </c>
      <c r="I4">
        <v>55181</v>
      </c>
      <c r="J4">
        <v>55165</v>
      </c>
      <c r="K4">
        <v>55254</v>
      </c>
      <c r="L4">
        <v>55154</v>
      </c>
      <c r="M4">
        <v>55221</v>
      </c>
      <c r="N4">
        <v>55214</v>
      </c>
      <c r="O4" s="4">
        <f>ROUND(AVERAGE(E4:N4),0)</f>
        <v>55189</v>
      </c>
      <c r="P4" s="4">
        <f>ROUND(STDEV(E4:N4),0)</f>
        <v>70</v>
      </c>
      <c r="Q4" s="5">
        <f>P4/O4</f>
        <v>1.2683686966605664E-3</v>
      </c>
      <c r="R4" s="5"/>
      <c r="S4">
        <f>ROUND(O4/100000,3)</f>
        <v>0.55200000000000005</v>
      </c>
      <c r="T4">
        <f>ROUND((P4/O4+$L$1)*S4,4)</f>
        <v>1.8E-3</v>
      </c>
      <c r="U4" s="6">
        <f>T4/S4</f>
        <v>3.2608695652173911E-3</v>
      </c>
      <c r="V4">
        <f>(0.5/O4+$L$1)*S4</f>
        <v>1.1090009965754046E-3</v>
      </c>
    </row>
    <row r="5" spans="1:23" x14ac:dyDescent="0.3">
      <c r="B5">
        <f>1390</f>
        <v>1390</v>
      </c>
      <c r="C5">
        <f t="shared" ref="C5:C9" si="0">B5-s-dbilia/2</f>
        <v>1381.95</v>
      </c>
      <c r="D5">
        <f t="shared" ref="D5:D9" si="1">C5/1000</f>
        <v>1.38195</v>
      </c>
      <c r="E5">
        <v>54067</v>
      </c>
      <c r="F5">
        <v>54127</v>
      </c>
      <c r="G5">
        <v>54077</v>
      </c>
      <c r="H5">
        <v>54075</v>
      </c>
      <c r="I5">
        <v>53993</v>
      </c>
      <c r="J5">
        <v>54055</v>
      </c>
      <c r="K5">
        <v>54196</v>
      </c>
      <c r="L5">
        <v>54117</v>
      </c>
      <c r="M5">
        <v>54202</v>
      </c>
      <c r="N5">
        <v>54152</v>
      </c>
      <c r="O5" s="4">
        <f t="shared" ref="O5:O9" si="2">ROUND(AVERAGE(E5:N5),0)</f>
        <v>54106</v>
      </c>
      <c r="P5" s="4">
        <f t="shared" ref="P5:P9" si="3">ROUND(STDEV(E5:N5),0)</f>
        <v>66</v>
      </c>
      <c r="Q5" s="5">
        <f t="shared" ref="Q5:Q9" si="4">P5/O5</f>
        <v>1.2198277455365393E-3</v>
      </c>
      <c r="R5" s="5"/>
      <c r="S5">
        <f>O5/100000</f>
        <v>0.54105999999999999</v>
      </c>
      <c r="T5">
        <f t="shared" ref="T5:T9" si="5">ROUND((P5/O5+$L$1)*S5,4)</f>
        <v>1.6999999999999999E-3</v>
      </c>
      <c r="U5" s="6">
        <f t="shared" ref="U5:U9" si="6">T5/S5</f>
        <v>3.1419805566850257E-3</v>
      </c>
      <c r="V5">
        <f t="shared" ref="V5:V9" si="7">(0.5/O5+$L$1)*S5</f>
        <v>1.08712E-3</v>
      </c>
    </row>
    <row r="6" spans="1:23" x14ac:dyDescent="0.3">
      <c r="B6">
        <f>1334</f>
        <v>1334</v>
      </c>
      <c r="C6">
        <f t="shared" si="0"/>
        <v>1325.95</v>
      </c>
      <c r="D6">
        <f t="shared" si="1"/>
        <v>1.32595</v>
      </c>
      <c r="E6">
        <v>52911</v>
      </c>
      <c r="F6">
        <v>53072</v>
      </c>
      <c r="G6">
        <v>51979</v>
      </c>
      <c r="H6">
        <v>52967</v>
      </c>
      <c r="I6">
        <v>52957</v>
      </c>
      <c r="J6">
        <v>52912</v>
      </c>
      <c r="K6">
        <v>52925</v>
      </c>
      <c r="L6">
        <v>53170</v>
      </c>
      <c r="M6">
        <v>52952</v>
      </c>
      <c r="O6" s="4">
        <f>ROUND(AVERAGE(E6:N6),0)</f>
        <v>52872</v>
      </c>
      <c r="P6" s="4">
        <f t="shared" si="3"/>
        <v>345</v>
      </c>
      <c r="Q6" s="5">
        <f t="shared" si="4"/>
        <v>6.5251929187471634E-3</v>
      </c>
      <c r="R6" s="5"/>
      <c r="S6">
        <f>O6/100000</f>
        <v>0.52871999999999997</v>
      </c>
      <c r="T6">
        <f t="shared" si="5"/>
        <v>4.4999999999999997E-3</v>
      </c>
      <c r="U6" s="6">
        <f t="shared" si="6"/>
        <v>8.5111211983658654E-3</v>
      </c>
      <c r="V6">
        <f t="shared" si="7"/>
        <v>1.06244E-3</v>
      </c>
    </row>
    <row r="7" spans="1:23" x14ac:dyDescent="0.3">
      <c r="B7">
        <f>1216</f>
        <v>1216</v>
      </c>
      <c r="C7">
        <f t="shared" si="0"/>
        <v>1207.95</v>
      </c>
      <c r="D7">
        <f t="shared" si="1"/>
        <v>1.2079500000000001</v>
      </c>
      <c r="E7">
        <v>50630</v>
      </c>
      <c r="F7">
        <v>50713</v>
      </c>
      <c r="G7">
        <v>50474</v>
      </c>
      <c r="H7">
        <v>50478</v>
      </c>
      <c r="I7">
        <v>50619</v>
      </c>
      <c r="J7">
        <v>50568</v>
      </c>
      <c r="K7">
        <v>50594</v>
      </c>
      <c r="L7">
        <v>50570</v>
      </c>
      <c r="M7">
        <v>50517</v>
      </c>
      <c r="N7">
        <v>50576</v>
      </c>
      <c r="O7" s="4">
        <f t="shared" si="2"/>
        <v>50574</v>
      </c>
      <c r="P7" s="4">
        <f t="shared" si="3"/>
        <v>73</v>
      </c>
      <c r="Q7" s="5">
        <f t="shared" si="4"/>
        <v>1.4434294301419702E-3</v>
      </c>
      <c r="R7" s="5"/>
      <c r="S7">
        <f>O7/100000</f>
        <v>0.50573999999999997</v>
      </c>
      <c r="T7">
        <f t="shared" si="5"/>
        <v>1.6999999999999999E-3</v>
      </c>
      <c r="U7" s="6">
        <f t="shared" si="6"/>
        <v>3.3614110017004786E-3</v>
      </c>
      <c r="V7">
        <f t="shared" si="7"/>
        <v>1.0164799999999999E-3</v>
      </c>
    </row>
    <row r="8" spans="1:23" x14ac:dyDescent="0.3">
      <c r="B8">
        <v>1145</v>
      </c>
      <c r="C8">
        <f t="shared" si="0"/>
        <v>1136.95</v>
      </c>
      <c r="D8">
        <f t="shared" si="1"/>
        <v>1.1369500000000001</v>
      </c>
      <c r="E8">
        <v>49243</v>
      </c>
      <c r="F8">
        <v>49172</v>
      </c>
      <c r="G8">
        <v>49225</v>
      </c>
      <c r="H8">
        <v>49179</v>
      </c>
      <c r="I8">
        <v>49313</v>
      </c>
      <c r="J8">
        <v>49198</v>
      </c>
      <c r="K8">
        <v>49215</v>
      </c>
      <c r="L8">
        <v>49173</v>
      </c>
      <c r="M8">
        <v>49175</v>
      </c>
      <c r="N8">
        <v>49125</v>
      </c>
      <c r="O8" s="4">
        <f t="shared" si="2"/>
        <v>49202</v>
      </c>
      <c r="P8" s="4">
        <f t="shared" si="3"/>
        <v>51</v>
      </c>
      <c r="Q8" s="5">
        <f t="shared" si="4"/>
        <v>1.036543229950002E-3</v>
      </c>
      <c r="R8" s="5"/>
      <c r="S8">
        <f>O8/100000</f>
        <v>0.49202000000000001</v>
      </c>
      <c r="T8">
        <f t="shared" si="5"/>
        <v>1.5E-3</v>
      </c>
      <c r="U8" s="6">
        <f t="shared" si="6"/>
        <v>3.0486565586764765E-3</v>
      </c>
      <c r="V8">
        <f t="shared" si="7"/>
        <v>9.8904000000000006E-4</v>
      </c>
    </row>
    <row r="9" spans="1:23" x14ac:dyDescent="0.3">
      <c r="B9">
        <f>1062</f>
        <v>1062</v>
      </c>
      <c r="C9">
        <f t="shared" si="0"/>
        <v>1053.95</v>
      </c>
      <c r="D9">
        <f t="shared" si="1"/>
        <v>1.0539499999999999</v>
      </c>
      <c r="E9">
        <v>47310</v>
      </c>
      <c r="F9">
        <v>47335</v>
      </c>
      <c r="G9">
        <v>47470</v>
      </c>
      <c r="H9">
        <v>47462</v>
      </c>
      <c r="I9">
        <v>47331</v>
      </c>
      <c r="J9">
        <v>47397</v>
      </c>
      <c r="K9">
        <v>47385</v>
      </c>
      <c r="L9">
        <v>47459</v>
      </c>
      <c r="M9">
        <v>47310</v>
      </c>
      <c r="N9">
        <v>47404</v>
      </c>
      <c r="O9" s="4">
        <f t="shared" si="2"/>
        <v>47386</v>
      </c>
      <c r="P9" s="4">
        <f t="shared" si="3"/>
        <v>63</v>
      </c>
      <c r="Q9" s="5">
        <f t="shared" si="4"/>
        <v>1.3295066053264678E-3</v>
      </c>
      <c r="R9" s="5"/>
      <c r="S9">
        <f>O9/100000</f>
        <v>0.47386</v>
      </c>
      <c r="T9">
        <f t="shared" si="5"/>
        <v>1.6000000000000001E-3</v>
      </c>
      <c r="U9" s="6">
        <f t="shared" si="6"/>
        <v>3.3765247119402356E-3</v>
      </c>
      <c r="V9">
        <f t="shared" si="7"/>
        <v>9.5272E-4</v>
      </c>
    </row>
    <row r="10" spans="1:23" x14ac:dyDescent="0.3">
      <c r="O10" s="4"/>
      <c r="P10" s="4"/>
      <c r="V10">
        <f>AVERAGE(V4:V9)</f>
        <v>1.0361334994292341E-3</v>
      </c>
      <c r="W10" t="s">
        <v>18</v>
      </c>
    </row>
    <row r="11" spans="1:23" x14ac:dyDescent="0.3">
      <c r="D11" t="s">
        <v>14</v>
      </c>
    </row>
    <row r="12" spans="1:23" s="8" customFormat="1" ht="16.8" x14ac:dyDescent="0.35">
      <c r="C12" s="8">
        <f>1</f>
        <v>1</v>
      </c>
      <c r="D12" s="8" t="s">
        <v>6</v>
      </c>
      <c r="E12" s="14" t="s">
        <v>1</v>
      </c>
      <c r="F12" s="14" t="s">
        <v>15</v>
      </c>
      <c r="H12" s="14" t="s">
        <v>9</v>
      </c>
      <c r="J12" s="14" t="s">
        <v>16</v>
      </c>
      <c r="K12" s="14" t="s">
        <v>17</v>
      </c>
      <c r="L12" s="14" t="s">
        <v>19</v>
      </c>
      <c r="U12" s="9"/>
    </row>
    <row r="13" spans="1:23" x14ac:dyDescent="0.3">
      <c r="C13">
        <f>C12+1</f>
        <v>2</v>
      </c>
      <c r="D13">
        <f t="shared" ref="D13:D18" si="8">ROUND(SQRT(D4),4)</f>
        <v>1.1987000000000001</v>
      </c>
      <c r="E13">
        <f t="shared" ref="E13:F18" si="9">S4</f>
        <v>0.55200000000000005</v>
      </c>
      <c r="F13">
        <f t="shared" si="9"/>
        <v>1.8E-3</v>
      </c>
      <c r="G13" s="1"/>
      <c r="H13" s="3">
        <f t="shared" ref="H13:H18" si="10">A+B*D13</f>
        <v>0.55131370000000013</v>
      </c>
      <c r="J13">
        <f>D13^2</f>
        <v>1.4368816900000003</v>
      </c>
      <c r="K13">
        <f>(E13-H13)^2</f>
        <v>4.7100768999988678E-7</v>
      </c>
      <c r="L13">
        <f>K13/F13^2</f>
        <v>0.14537274382712556</v>
      </c>
      <c r="U13" s="2"/>
    </row>
    <row r="14" spans="1:23" x14ac:dyDescent="0.3">
      <c r="C14">
        <f t="shared" ref="C14:C18" si="11">C13+1</f>
        <v>3</v>
      </c>
      <c r="D14">
        <f t="shared" si="8"/>
        <v>1.1756</v>
      </c>
      <c r="E14">
        <f t="shared" si="9"/>
        <v>0.54105999999999999</v>
      </c>
      <c r="F14">
        <f t="shared" si="9"/>
        <v>1.6999999999999999E-3</v>
      </c>
      <c r="H14" s="3">
        <f t="shared" si="10"/>
        <v>0.54089560000000003</v>
      </c>
      <c r="J14">
        <f t="shared" ref="J14:J18" si="12">D14^2</f>
        <v>1.3820353599999999</v>
      </c>
      <c r="K14">
        <f t="shared" ref="K14:K18" si="13">(E14-H14)^2</f>
        <v>2.70273599999847E-8</v>
      </c>
      <c r="L14">
        <f t="shared" ref="L14:L18" si="14">K14/F14^2</f>
        <v>9.3520276816556058E-3</v>
      </c>
    </row>
    <row r="15" spans="1:23" x14ac:dyDescent="0.3">
      <c r="C15">
        <f t="shared" si="11"/>
        <v>4</v>
      </c>
      <c r="D15">
        <f t="shared" si="8"/>
        <v>1.1515</v>
      </c>
      <c r="E15">
        <f t="shared" si="9"/>
        <v>0.52871999999999997</v>
      </c>
      <c r="F15">
        <f t="shared" si="9"/>
        <v>4.4999999999999997E-3</v>
      </c>
      <c r="H15" s="3">
        <f t="shared" si="10"/>
        <v>0.53002650000000007</v>
      </c>
      <c r="J15">
        <f t="shared" si="12"/>
        <v>1.3259522499999998</v>
      </c>
      <c r="K15">
        <f t="shared" si="13"/>
        <v>1.7069422500002593E-6</v>
      </c>
      <c r="L15">
        <f t="shared" si="14"/>
        <v>8.4293444444457258E-2</v>
      </c>
    </row>
    <row r="16" spans="1:23" x14ac:dyDescent="0.3">
      <c r="C16">
        <f t="shared" si="11"/>
        <v>5</v>
      </c>
      <c r="D16">
        <f t="shared" si="8"/>
        <v>1.0991</v>
      </c>
      <c r="E16">
        <f t="shared" si="9"/>
        <v>0.50573999999999997</v>
      </c>
      <c r="F16">
        <f t="shared" si="9"/>
        <v>1.6999999999999999E-3</v>
      </c>
      <c r="H16" s="3">
        <f t="shared" si="10"/>
        <v>0.50639409999999996</v>
      </c>
      <c r="J16">
        <f t="shared" si="12"/>
        <v>1.2080208099999998</v>
      </c>
      <c r="K16">
        <f t="shared" si="13"/>
        <v>4.2784680999998796E-7</v>
      </c>
      <c r="L16">
        <f t="shared" si="14"/>
        <v>0.14804387889272941</v>
      </c>
    </row>
    <row r="17" spans="2:15" x14ac:dyDescent="0.3">
      <c r="C17">
        <f t="shared" si="11"/>
        <v>6</v>
      </c>
      <c r="D17">
        <f t="shared" si="8"/>
        <v>1.0663</v>
      </c>
      <c r="E17">
        <f t="shared" si="9"/>
        <v>0.49202000000000001</v>
      </c>
      <c r="F17">
        <f t="shared" si="9"/>
        <v>1.5E-3</v>
      </c>
      <c r="H17" s="3">
        <f t="shared" si="10"/>
        <v>0.49160130000000002</v>
      </c>
      <c r="J17">
        <f t="shared" si="12"/>
        <v>1.13699569</v>
      </c>
      <c r="K17">
        <f t="shared" si="13"/>
        <v>1.7530968999999504E-7</v>
      </c>
      <c r="L17">
        <f t="shared" si="14"/>
        <v>7.7915417777775567E-2</v>
      </c>
    </row>
    <row r="18" spans="2:15" x14ac:dyDescent="0.3">
      <c r="C18">
        <f t="shared" si="11"/>
        <v>7</v>
      </c>
      <c r="D18">
        <f t="shared" si="8"/>
        <v>1.0266</v>
      </c>
      <c r="E18">
        <f t="shared" si="9"/>
        <v>0.47386</v>
      </c>
      <c r="F18">
        <f t="shared" si="9"/>
        <v>1.6000000000000001E-3</v>
      </c>
      <c r="H18" s="3">
        <f t="shared" si="10"/>
        <v>0.47369659999999997</v>
      </c>
      <c r="J18">
        <f t="shared" si="12"/>
        <v>1.0539075599999999</v>
      </c>
      <c r="K18">
        <f t="shared" si="13"/>
        <v>2.6699560000011679E-8</v>
      </c>
      <c r="L18">
        <f t="shared" si="14"/>
        <v>1.0429515625004562E-2</v>
      </c>
    </row>
    <row r="19" spans="2:15" x14ac:dyDescent="0.3">
      <c r="B19" s="10" t="s">
        <v>10</v>
      </c>
      <c r="C19" s="10"/>
      <c r="D19" s="10">
        <f>SUM(D13:D18)</f>
        <v>6.7178000000000004</v>
      </c>
      <c r="E19" s="10">
        <f>SUM(E13:E18)</f>
        <v>3.0933999999999999</v>
      </c>
      <c r="F19" s="10"/>
      <c r="G19" s="10"/>
      <c r="H19" s="10"/>
      <c r="I19" s="10"/>
      <c r="J19" s="10">
        <f>SUM(J13:J18)</f>
        <v>7.5437933599999996</v>
      </c>
      <c r="K19" s="10">
        <f>SUM(K13:K18)</f>
        <v>2.8348333600001252E-6</v>
      </c>
      <c r="L19" s="10">
        <f>SUM(L13:L18)</f>
        <v>0.47540702824874792</v>
      </c>
      <c r="M19" t="s">
        <v>20</v>
      </c>
    </row>
    <row r="20" spans="2:15" x14ac:dyDescent="0.3">
      <c r="E20" t="s">
        <v>18</v>
      </c>
      <c r="F20">
        <f>AVERAGE(F13:F18)</f>
        <v>2.1333333333333334E-3</v>
      </c>
    </row>
    <row r="21" spans="2:15" x14ac:dyDescent="0.3">
      <c r="F21" s="7" t="s">
        <v>7</v>
      </c>
      <c r="G21" s="13">
        <v>1.0699999999999999E-2</v>
      </c>
      <c r="H21" s="11" t="s">
        <v>11</v>
      </c>
      <c r="I21">
        <f>G24*SQRT(J19/G23)</f>
        <v>7.4637591419607948E-4</v>
      </c>
      <c r="J21" s="6">
        <f>I21/ABS(A)</f>
        <v>6.9754758336082204E-2</v>
      </c>
    </row>
    <row r="22" spans="2:15" x14ac:dyDescent="0.3">
      <c r="F22" s="7" t="s">
        <v>8</v>
      </c>
      <c r="G22">
        <f xml:space="preserve"> 0.451</f>
        <v>0.45100000000000001</v>
      </c>
      <c r="H22" s="11" t="s">
        <v>12</v>
      </c>
      <c r="I22">
        <f>G24*SQRT(C18/G23)</f>
        <v>7.1897161422133015E-4</v>
      </c>
      <c r="J22" s="6">
        <f>I22/ABS(B)</f>
        <v>1.5941720936171399E-3</v>
      </c>
    </row>
    <row r="23" spans="2:15" x14ac:dyDescent="0.3">
      <c r="F23" s="34" t="s">
        <v>35</v>
      </c>
      <c r="G23">
        <f>C18*J19-D19^2</f>
        <v>7.677716679999989</v>
      </c>
    </row>
    <row r="24" spans="2:15" ht="15.6" x14ac:dyDescent="0.35">
      <c r="F24" s="7" t="s">
        <v>29</v>
      </c>
      <c r="G24">
        <f>SQRT(K19/(C18-2))</f>
        <v>7.5297189323375482E-4</v>
      </c>
    </row>
    <row r="25" spans="2:15" ht="15" thickBot="1" x14ac:dyDescent="0.35"/>
    <row r="26" spans="2:15" ht="15" thickTop="1" x14ac:dyDescent="0.3">
      <c r="F26" s="26"/>
      <c r="G26" s="27"/>
      <c r="H26" s="27"/>
      <c r="I26" s="27">
        <f>(J21)*ABS(G27)</f>
        <v>7.4637591419607959E-4</v>
      </c>
      <c r="J26" s="27"/>
      <c r="K26" s="27"/>
      <c r="L26" s="27"/>
      <c r="M26" s="27"/>
      <c r="N26" s="27"/>
      <c r="O26" s="28"/>
    </row>
    <row r="27" spans="2:15" ht="18.600000000000001" thickBot="1" x14ac:dyDescent="0.4">
      <c r="F27" s="29" t="s">
        <v>21</v>
      </c>
      <c r="G27" s="30">
        <f>-A</f>
        <v>-1.0699999999999999E-2</v>
      </c>
      <c r="H27" s="30"/>
      <c r="I27" s="31">
        <f>(J21)*ABS(G27)</f>
        <v>7.4637591419607959E-4</v>
      </c>
      <c r="J27" s="30" t="s">
        <v>13</v>
      </c>
      <c r="K27" s="32" t="s">
        <v>33</v>
      </c>
      <c r="L27" s="30"/>
      <c r="M27" s="30"/>
      <c r="N27" s="30"/>
      <c r="O27" s="33"/>
    </row>
    <row r="28" spans="2:15" ht="15.6" thickTop="1" thickBot="1" x14ac:dyDescent="0.35"/>
    <row r="29" spans="2:15" ht="18.600000000000001" thickTop="1" x14ac:dyDescent="0.35">
      <c r="F29" s="21" t="s">
        <v>30</v>
      </c>
      <c r="G29" s="22">
        <f>SQRT(G24^2+V10^2)</f>
        <v>1.2808353917032023E-3</v>
      </c>
      <c r="H29" s="23" t="s">
        <v>32</v>
      </c>
      <c r="I29" s="22">
        <f>G29*SQRT(J19/G23)</f>
        <v>1.2696153667988142E-3</v>
      </c>
      <c r="J29" s="22"/>
      <c r="K29" s="24" t="s">
        <v>34</v>
      </c>
      <c r="L29" s="22"/>
      <c r="M29" s="22"/>
      <c r="N29" s="22"/>
      <c r="O29" s="25"/>
    </row>
    <row r="30" spans="2:15" ht="16.2" thickBot="1" x14ac:dyDescent="0.4">
      <c r="F30" s="17" t="s">
        <v>21</v>
      </c>
      <c r="G30" s="18">
        <f>-A</f>
        <v>-1.0699999999999999E-2</v>
      </c>
      <c r="H30" s="18"/>
      <c r="I30" s="19">
        <f>I29</f>
        <v>1.2696153667988142E-3</v>
      </c>
      <c r="J30" s="18" t="s">
        <v>13</v>
      </c>
      <c r="K30" s="18"/>
      <c r="L30" s="18"/>
      <c r="M30" s="18"/>
      <c r="N30" s="18"/>
      <c r="O30" s="20"/>
    </row>
    <row r="31" spans="2:15" ht="15" thickTop="1" x14ac:dyDescent="0.3"/>
    <row r="34" spans="4:4" ht="15.6" x14ac:dyDescent="0.3">
      <c r="D34" s="1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cailbrazione caduta g</vt:lpstr>
      <vt:lpstr>Foglio2</vt:lpstr>
      <vt:lpstr>Foglio3</vt:lpstr>
      <vt:lpstr>A</vt:lpstr>
      <vt:lpstr>B</vt:lpstr>
      <vt:lpstr>dbilia</vt:lpstr>
      <vt:lpstr>s</vt:lpstr>
    </vt:vector>
  </TitlesOfParts>
  <Company>INFN- Sezione di Ferrara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Ciullo Giuseppe</dc:creator>
  <cp:lastModifiedBy>Giuseppe Ciullo</cp:lastModifiedBy>
  <dcterms:created xsi:type="dcterms:W3CDTF">2010-12-08T18:55:44Z</dcterms:created>
  <dcterms:modified xsi:type="dcterms:W3CDTF">2014-05-12T13:35:18Z</dcterms:modified>
</cp:coreProperties>
</file>